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xr:revisionPtr revIDLastSave="0" documentId="13_ncr:1_{8D003D97-D141-8742-B148-87D7E69C1CA3}" xr6:coauthVersionLast="36" xr6:coauthVersionMax="36" xr10:uidLastSave="{00000000-0000-0000-0000-000000000000}"/>
  <bookViews>
    <workbookView xWindow="0" yWindow="460" windowWidth="32980" windowHeight="17600" tabRatio="500" xr2:uid="{00000000-000D-0000-FFFF-FFFF00000000}"/>
  </bookViews>
  <sheets>
    <sheet name="Sheet1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1" l="1"/>
  <c r="B55" i="1"/>
  <c r="D51" i="1"/>
  <c r="E51" i="1" s="1"/>
  <c r="F51" i="1" s="1"/>
  <c r="G51" i="1" s="1"/>
  <c r="H51" i="1" s="1"/>
  <c r="I51" i="1" s="1"/>
  <c r="C51" i="1"/>
  <c r="D48" i="1"/>
  <c r="E48" i="1" s="1"/>
  <c r="F48" i="1" s="1"/>
  <c r="G48" i="1" s="1"/>
  <c r="H48" i="1" s="1"/>
  <c r="I48" i="1" s="1"/>
  <c r="D46" i="1"/>
  <c r="H46" i="1"/>
  <c r="C45" i="1"/>
  <c r="C46" i="1" s="1"/>
  <c r="D45" i="1"/>
  <c r="E45" i="1"/>
  <c r="E46" i="1" s="1"/>
  <c r="F45" i="1"/>
  <c r="G45" i="1"/>
  <c r="G46" i="1" s="1"/>
  <c r="H45" i="1"/>
  <c r="B45" i="1"/>
  <c r="D44" i="1"/>
  <c r="E44" i="1"/>
  <c r="F44" i="1"/>
  <c r="G44" i="1"/>
  <c r="H44" i="1"/>
  <c r="C44" i="1"/>
  <c r="C43" i="1"/>
  <c r="B43" i="1"/>
  <c r="C42" i="1"/>
  <c r="D42" i="1"/>
  <c r="E42" i="1"/>
  <c r="F42" i="1"/>
  <c r="G42" i="1"/>
  <c r="H42" i="1"/>
  <c r="B42" i="1"/>
  <c r="B38" i="1"/>
  <c r="B18" i="1"/>
  <c r="B23" i="1"/>
  <c r="B20" i="1"/>
  <c r="B40" i="1" s="1"/>
  <c r="B41" i="1" s="1"/>
  <c r="B22" i="1"/>
  <c r="D38" i="1"/>
  <c r="E38" i="1"/>
  <c r="F38" i="1"/>
  <c r="G38" i="1"/>
  <c r="H38" i="1"/>
  <c r="C38" i="1"/>
  <c r="D18" i="1"/>
  <c r="D23" i="1"/>
  <c r="E18" i="1"/>
  <c r="E23" i="1"/>
  <c r="F18" i="1"/>
  <c r="F41" i="1" s="1"/>
  <c r="F23" i="1"/>
  <c r="G18" i="1"/>
  <c r="G41" i="1" s="1"/>
  <c r="G47" i="1" s="1"/>
  <c r="G52" i="1" s="1"/>
  <c r="G23" i="1"/>
  <c r="H18" i="1"/>
  <c r="H23" i="1"/>
  <c r="C18" i="1"/>
  <c r="C41" i="1" s="1"/>
  <c r="C23" i="1"/>
  <c r="D20" i="1"/>
  <c r="D40" i="1" s="1"/>
  <c r="D22" i="1"/>
  <c r="E20" i="1"/>
  <c r="E40" i="1" s="1"/>
  <c r="E22" i="1"/>
  <c r="F20" i="1"/>
  <c r="F40" i="1" s="1"/>
  <c r="F22" i="1"/>
  <c r="G20" i="1"/>
  <c r="G40" i="1" s="1"/>
  <c r="G22" i="1"/>
  <c r="H20" i="1"/>
  <c r="H40" i="1" s="1"/>
  <c r="H22" i="1"/>
  <c r="C20" i="1"/>
  <c r="C22" i="1"/>
  <c r="C47" i="1" l="1"/>
  <c r="C52" i="1" s="1"/>
  <c r="E41" i="1"/>
  <c r="E47" i="1" s="1"/>
  <c r="E52" i="1" s="1"/>
  <c r="H41" i="1"/>
  <c r="H47" i="1" s="1"/>
  <c r="D41" i="1"/>
  <c r="D47" i="1" s="1"/>
  <c r="D52" i="1" s="1"/>
  <c r="F46" i="1"/>
  <c r="F47" i="1" s="1"/>
  <c r="F52" i="1" s="1"/>
  <c r="I47" i="1" l="1"/>
  <c r="I50" i="1" s="1"/>
  <c r="I52" i="1" s="1"/>
  <c r="B53" i="1" s="1"/>
  <c r="B56" i="1" s="1"/>
  <c r="B57" i="1" s="1"/>
  <c r="B58" i="1" s="1"/>
  <c r="H52" i="1"/>
</calcChain>
</file>

<file path=xl/sharedStrings.xml><?xml version="1.0" encoding="utf-8"?>
<sst xmlns="http://schemas.openxmlformats.org/spreadsheetml/2006/main" count="64" uniqueCount="61">
  <si>
    <t>Baidu IPO date: Aug. 05, 2005</t>
  </si>
  <si>
    <t>2005E</t>
  </si>
  <si>
    <t>2006E</t>
  </si>
  <si>
    <t>2007E</t>
  </si>
  <si>
    <t>2008E</t>
  </si>
  <si>
    <t>2009E</t>
  </si>
  <si>
    <t>2010E</t>
  </si>
  <si>
    <t>(In RMB millions)</t>
  </si>
  <si>
    <t>Net Revenue</t>
  </si>
  <si>
    <t>Cost of Revenue</t>
  </si>
  <si>
    <t>SG&amp;A</t>
  </si>
  <si>
    <t>R&amp;D</t>
  </si>
  <si>
    <t>Other Income</t>
  </si>
  <si>
    <t>EBT</t>
  </si>
  <si>
    <t>Tax</t>
  </si>
  <si>
    <t>Stock-Based Comp (SBC)</t>
  </si>
  <si>
    <t>Depreciation</t>
  </si>
  <si>
    <t>Amortization</t>
  </si>
  <si>
    <t>Net Income</t>
  </si>
  <si>
    <t>EBITDA (ex. SBC)</t>
  </si>
  <si>
    <t>Operating Profit</t>
  </si>
  <si>
    <t>Cash</t>
  </si>
  <si>
    <t>A/R</t>
  </si>
  <si>
    <t>Prepaid Expenses</t>
  </si>
  <si>
    <t>Net Fixed Assets</t>
  </si>
  <si>
    <t>Net Intangible Assets</t>
  </si>
  <si>
    <t>Accrued Expenses</t>
  </si>
  <si>
    <t>Customers' Deposits</t>
  </si>
  <si>
    <t>Deferred Revenue</t>
  </si>
  <si>
    <t>Share Capital &amp; Reserve</t>
  </si>
  <si>
    <t>R/E</t>
  </si>
  <si>
    <t>Shareholders' Equity</t>
  </si>
  <si>
    <t>2004A</t>
  </si>
  <si>
    <t>Convertible Preferred Shares</t>
  </si>
  <si>
    <t>Exchange Rate (RMB/USD)</t>
  </si>
  <si>
    <t>Offer Price (per share)</t>
  </si>
  <si>
    <t>Primary</t>
  </si>
  <si>
    <t>Secondary</t>
  </si>
  <si>
    <t># Shares Offered</t>
  </si>
  <si>
    <t>EBIAT</t>
  </si>
  <si>
    <t>Plus: D&amp;A</t>
  </si>
  <si>
    <t>Minus: Capex</t>
  </si>
  <si>
    <t>NWC</t>
  </si>
  <si>
    <t>Minus: Spending in NWC</t>
  </si>
  <si>
    <t>FCF</t>
  </si>
  <si>
    <t>Long-Term Growth Rate</t>
  </si>
  <si>
    <t>Terminal Value</t>
  </si>
  <si>
    <t>Discount Period</t>
  </si>
  <si>
    <t>PV</t>
  </si>
  <si>
    <t>WACC (Peers' Median)</t>
  </si>
  <si>
    <t>EV</t>
  </si>
  <si>
    <t>Plus: Cash</t>
  </si>
  <si>
    <t>Plus: IPO Proceeds</t>
  </si>
  <si>
    <t xml:space="preserve">million </t>
  </si>
  <si>
    <t>Gross Spread</t>
  </si>
  <si>
    <t>Equity Value (RMB million)</t>
  </si>
  <si>
    <t>Equity Value (USD million)</t>
  </si>
  <si>
    <t>Share Value</t>
  </si>
  <si>
    <t>Plus: Historically Expensed SBC</t>
  </si>
  <si>
    <t># Diluted Shares Outstanding after IPO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</si>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</sst>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8" zoomScale="192" zoomScaleNormal="192" workbookViewId="0">
      <selection activeCell="I47" sqref="I47"/>
    </sheetView>
  </sheetViews>
  <sheetFormatPr baseColWidth="10" defaultRowHeight="16" x14ac:dyDescent="0.2"/>
  <cols>
    <col min="1" max="1" width="32.1640625" customWidth="1"/>
    <col min="2" max="2" width="12" customWidth="1"/>
  </cols>
  <sheetData>
    <row r="1" spans="1:8" x14ac:dyDescent="0.2">
      <c r="A1" s="8" t="s">
        <v>0</v>
      </c>
      <c r="B1" s="8"/>
      <c r="C1" s="8"/>
      <c r="D1" s="8"/>
      <c r="E1" s="8"/>
      <c r="F1" s="8"/>
      <c r="G1" s="8"/>
      <c r="H1" s="8"/>
    </row>
    <row r="2" spans="1:8" x14ac:dyDescent="0.2">
      <c r="A2" s="2" t="s">
        <v>35</v>
      </c>
      <c r="B2" s="3">
        <v>27</v>
      </c>
      <c r="C2" s="2"/>
      <c r="D2" s="2"/>
      <c r="E2" s="2"/>
      <c r="F2" s="2"/>
      <c r="G2" s="2"/>
      <c r="H2" s="2"/>
    </row>
    <row r="3" spans="1:8" x14ac:dyDescent="0.2">
      <c r="A3" s="4" t="s">
        <v>54</v>
      </c>
      <c r="B3" s="7">
        <v>7.0000000000000007E-2</v>
      </c>
      <c r="C3" s="4"/>
      <c r="D3" s="4"/>
      <c r="E3" s="4"/>
      <c r="F3" s="4"/>
      <c r="G3" s="4"/>
      <c r="H3" s="4"/>
    </row>
    <row r="4" spans="1:8" x14ac:dyDescent="0.2">
      <c r="A4" s="2" t="s">
        <v>59</v>
      </c>
      <c r="B4" s="1">
        <v>32.299999999999997</v>
      </c>
      <c r="C4" s="2" t="s">
        <v>53</v>
      </c>
      <c r="D4" s="2"/>
      <c r="E4" s="2"/>
      <c r="F4" s="2"/>
      <c r="G4" s="2"/>
      <c r="H4" s="2"/>
    </row>
    <row r="5" spans="1:8" x14ac:dyDescent="0.2">
      <c r="A5" s="2" t="s">
        <v>38</v>
      </c>
      <c r="B5" s="1">
        <v>4.04</v>
      </c>
      <c r="C5" s="2" t="s">
        <v>53</v>
      </c>
      <c r="D5" s="2"/>
      <c r="E5" s="2"/>
      <c r="F5" s="2"/>
      <c r="G5" s="2"/>
      <c r="H5" s="2"/>
    </row>
    <row r="6" spans="1:8" x14ac:dyDescent="0.2">
      <c r="A6" s="1" t="s">
        <v>36</v>
      </c>
      <c r="B6" s="1">
        <v>3.21</v>
      </c>
      <c r="C6" s="2" t="s">
        <v>53</v>
      </c>
      <c r="D6" s="2"/>
      <c r="E6" s="2"/>
      <c r="F6" s="2"/>
      <c r="G6" s="2"/>
      <c r="H6" s="2"/>
    </row>
    <row r="7" spans="1:8" x14ac:dyDescent="0.2">
      <c r="A7" s="1" t="s">
        <v>37</v>
      </c>
      <c r="B7" s="1">
        <v>0.83</v>
      </c>
      <c r="C7" s="2" t="s">
        <v>53</v>
      </c>
      <c r="D7" s="2"/>
      <c r="E7" s="2"/>
      <c r="F7" s="2"/>
      <c r="G7" s="2"/>
      <c r="H7" s="2"/>
    </row>
    <row r="8" spans="1:8" x14ac:dyDescent="0.2">
      <c r="A8" s="2" t="s">
        <v>34</v>
      </c>
      <c r="B8" s="1">
        <v>8.1059999999999999</v>
      </c>
      <c r="C8" s="2"/>
      <c r="D8" s="2"/>
      <c r="E8" s="2"/>
      <c r="F8" s="2"/>
      <c r="G8" s="2"/>
      <c r="H8" s="2"/>
    </row>
    <row r="10" spans="1:8" x14ac:dyDescent="0.2">
      <c r="A10" t="s">
        <v>7</v>
      </c>
      <c r="B10" t="s">
        <v>32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</row>
    <row r="11" spans="1:8" x14ac:dyDescent="0.2">
      <c r="A11" t="s">
        <v>8</v>
      </c>
      <c r="B11">
        <v>111</v>
      </c>
      <c r="C11">
        <v>271</v>
      </c>
      <c r="D11">
        <v>512</v>
      </c>
      <c r="E11">
        <v>762</v>
      </c>
      <c r="F11">
        <v>1044</v>
      </c>
      <c r="G11">
        <v>1434</v>
      </c>
      <c r="H11">
        <v>1750</v>
      </c>
    </row>
    <row r="12" spans="1:8" x14ac:dyDescent="0.2">
      <c r="A12" t="s">
        <v>9</v>
      </c>
      <c r="B12">
        <v>33</v>
      </c>
      <c r="C12">
        <v>80</v>
      </c>
      <c r="D12">
        <v>137</v>
      </c>
      <c r="E12">
        <v>187</v>
      </c>
      <c r="F12">
        <v>246</v>
      </c>
      <c r="G12">
        <v>320</v>
      </c>
      <c r="H12">
        <v>392</v>
      </c>
    </row>
    <row r="13" spans="1:8" x14ac:dyDescent="0.2">
      <c r="A13" s="1" t="s">
        <v>16</v>
      </c>
      <c r="B13" s="1">
        <v>8.9</v>
      </c>
      <c r="C13">
        <v>32</v>
      </c>
      <c r="D13">
        <v>52</v>
      </c>
      <c r="E13">
        <v>62</v>
      </c>
      <c r="F13">
        <v>64</v>
      </c>
      <c r="G13">
        <v>70</v>
      </c>
      <c r="H13">
        <v>79</v>
      </c>
    </row>
    <row r="14" spans="1:8" x14ac:dyDescent="0.2">
      <c r="A14" s="1" t="s">
        <v>17</v>
      </c>
      <c r="B14" s="1">
        <v>1.1000000000000001</v>
      </c>
      <c r="C14">
        <v>3</v>
      </c>
      <c r="D14">
        <v>3</v>
      </c>
      <c r="E14">
        <v>3</v>
      </c>
      <c r="F14">
        <v>3</v>
      </c>
      <c r="G14">
        <v>1</v>
      </c>
      <c r="H14">
        <v>0</v>
      </c>
    </row>
    <row r="15" spans="1:8" x14ac:dyDescent="0.2">
      <c r="A15" t="s">
        <v>10</v>
      </c>
      <c r="B15">
        <v>39</v>
      </c>
      <c r="C15">
        <v>99</v>
      </c>
      <c r="D15">
        <v>153</v>
      </c>
      <c r="E15">
        <v>221</v>
      </c>
      <c r="F15">
        <v>313</v>
      </c>
      <c r="G15">
        <v>364</v>
      </c>
      <c r="H15">
        <v>411</v>
      </c>
    </row>
    <row r="16" spans="1:8" x14ac:dyDescent="0.2">
      <c r="A16" t="s">
        <v>11</v>
      </c>
      <c r="B16">
        <v>11.4</v>
      </c>
      <c r="C16">
        <v>31</v>
      </c>
      <c r="D16">
        <v>48</v>
      </c>
      <c r="E16">
        <v>76</v>
      </c>
      <c r="F16">
        <v>106</v>
      </c>
      <c r="G16">
        <v>138</v>
      </c>
      <c r="H16">
        <v>165</v>
      </c>
    </row>
    <row r="17" spans="1:8" x14ac:dyDescent="0.2">
      <c r="A17" t="s">
        <v>15</v>
      </c>
      <c r="B17">
        <v>16.5</v>
      </c>
      <c r="C17">
        <v>31</v>
      </c>
      <c r="D17">
        <v>44</v>
      </c>
      <c r="E17">
        <v>50</v>
      </c>
      <c r="F17">
        <v>52</v>
      </c>
      <c r="G17">
        <v>55</v>
      </c>
      <c r="H17">
        <v>58</v>
      </c>
    </row>
    <row r="18" spans="1:8" x14ac:dyDescent="0.2">
      <c r="A18" t="s">
        <v>20</v>
      </c>
      <c r="B18">
        <f>B11-B12-B15-B16-B17</f>
        <v>11.100000000000001</v>
      </c>
      <c r="C18">
        <f>C11-C12-C15-C16-C17</f>
        <v>30</v>
      </c>
      <c r="D18">
        <f t="shared" ref="D18:H18" si="0">D11-D12-D15-D16-D17</f>
        <v>130</v>
      </c>
      <c r="E18">
        <f t="shared" si="0"/>
        <v>228</v>
      </c>
      <c r="F18">
        <f t="shared" si="0"/>
        <v>327</v>
      </c>
      <c r="G18">
        <f t="shared" si="0"/>
        <v>557</v>
      </c>
      <c r="H18">
        <f t="shared" si="0"/>
        <v>724</v>
      </c>
    </row>
    <row r="19" spans="1:8" x14ac:dyDescent="0.2">
      <c r="A19" t="s">
        <v>12</v>
      </c>
      <c r="B19">
        <v>1.5</v>
      </c>
      <c r="C19">
        <v>6</v>
      </c>
      <c r="D19">
        <v>14</v>
      </c>
      <c r="E19">
        <v>22</v>
      </c>
      <c r="F19">
        <v>31</v>
      </c>
      <c r="G19">
        <v>40</v>
      </c>
      <c r="H19">
        <v>50</v>
      </c>
    </row>
    <row r="20" spans="1:8" x14ac:dyDescent="0.2">
      <c r="A20" t="s">
        <v>13</v>
      </c>
      <c r="B20">
        <f t="shared" ref="B20:H20" si="1">B11-B12-B15-B16-B17+B19</f>
        <v>12.600000000000001</v>
      </c>
      <c r="C20">
        <f t="shared" si="1"/>
        <v>36</v>
      </c>
      <c r="D20">
        <f t="shared" si="1"/>
        <v>144</v>
      </c>
      <c r="E20">
        <f t="shared" si="1"/>
        <v>250</v>
      </c>
      <c r="F20">
        <f t="shared" si="1"/>
        <v>358</v>
      </c>
      <c r="G20">
        <f t="shared" si="1"/>
        <v>597</v>
      </c>
      <c r="H20">
        <f t="shared" si="1"/>
        <v>774</v>
      </c>
    </row>
    <row r="21" spans="1:8" x14ac:dyDescent="0.2">
      <c r="A21" t="s">
        <v>14</v>
      </c>
      <c r="B21">
        <v>0.5</v>
      </c>
      <c r="C21">
        <v>5</v>
      </c>
      <c r="D21">
        <v>15</v>
      </c>
      <c r="E21">
        <v>30</v>
      </c>
      <c r="F21">
        <v>62</v>
      </c>
      <c r="G21">
        <v>98</v>
      </c>
      <c r="H21">
        <v>125</v>
      </c>
    </row>
    <row r="22" spans="1:8" x14ac:dyDescent="0.2">
      <c r="A22" t="s">
        <v>18</v>
      </c>
      <c r="B22">
        <f>B20-B21</f>
        <v>12.100000000000001</v>
      </c>
      <c r="C22">
        <f>C20-C21</f>
        <v>31</v>
      </c>
      <c r="D22">
        <f t="shared" ref="D22:H22" si="2">D20-D21</f>
        <v>129</v>
      </c>
      <c r="E22">
        <f t="shared" si="2"/>
        <v>220</v>
      </c>
      <c r="F22">
        <f t="shared" si="2"/>
        <v>296</v>
      </c>
      <c r="G22">
        <f t="shared" si="2"/>
        <v>499</v>
      </c>
      <c r="H22">
        <f t="shared" si="2"/>
        <v>649</v>
      </c>
    </row>
    <row r="23" spans="1:8" x14ac:dyDescent="0.2">
      <c r="A23" t="s">
        <v>19</v>
      </c>
      <c r="B23">
        <f>B18+B13+B14+B17</f>
        <v>37.6</v>
      </c>
      <c r="C23">
        <f>C18+C13+C14+C17</f>
        <v>96</v>
      </c>
      <c r="D23">
        <f t="shared" ref="D23:H23" si="3">D18+D13+D14+D17</f>
        <v>229</v>
      </c>
      <c r="E23">
        <f t="shared" si="3"/>
        <v>343</v>
      </c>
      <c r="F23">
        <f t="shared" si="3"/>
        <v>446</v>
      </c>
      <c r="G23">
        <f t="shared" si="3"/>
        <v>683</v>
      </c>
      <c r="H23">
        <f t="shared" si="3"/>
        <v>861</v>
      </c>
    </row>
    <row r="25" spans="1:8" x14ac:dyDescent="0.2">
      <c r="A25" t="s">
        <v>21</v>
      </c>
      <c r="B25">
        <v>200.2</v>
      </c>
      <c r="C25">
        <v>935</v>
      </c>
      <c r="D25">
        <v>1131</v>
      </c>
      <c r="E25">
        <v>1416</v>
      </c>
      <c r="F25">
        <v>1770</v>
      </c>
      <c r="G25">
        <v>2301</v>
      </c>
      <c r="H25">
        <v>2884</v>
      </c>
    </row>
    <row r="26" spans="1:8" x14ac:dyDescent="0.2">
      <c r="A26" t="s">
        <v>22</v>
      </c>
      <c r="B26">
        <v>9.6</v>
      </c>
      <c r="C26">
        <v>23</v>
      </c>
      <c r="D26">
        <v>42</v>
      </c>
      <c r="E26">
        <v>61</v>
      </c>
      <c r="F26">
        <v>82</v>
      </c>
      <c r="G26">
        <v>110</v>
      </c>
      <c r="H26">
        <v>129</v>
      </c>
    </row>
    <row r="27" spans="1:8" x14ac:dyDescent="0.2">
      <c r="A27" t="s">
        <v>23</v>
      </c>
      <c r="B27">
        <v>2.4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</row>
    <row r="28" spans="1:8" x14ac:dyDescent="0.2">
      <c r="A28" t="s">
        <v>24</v>
      </c>
      <c r="B28">
        <v>35.9</v>
      </c>
      <c r="C28">
        <v>85</v>
      </c>
      <c r="D28">
        <v>95</v>
      </c>
      <c r="E28">
        <v>116</v>
      </c>
      <c r="F28">
        <v>146</v>
      </c>
      <c r="G28">
        <v>191</v>
      </c>
      <c r="H28">
        <v>243</v>
      </c>
    </row>
    <row r="29" spans="1:8" x14ac:dyDescent="0.2">
      <c r="A29" t="s">
        <v>25</v>
      </c>
      <c r="B29">
        <v>14</v>
      </c>
      <c r="C29">
        <v>11</v>
      </c>
      <c r="D29">
        <v>8</v>
      </c>
      <c r="E29">
        <v>5</v>
      </c>
      <c r="F29">
        <v>2</v>
      </c>
      <c r="G29">
        <v>1</v>
      </c>
      <c r="H29">
        <v>1</v>
      </c>
    </row>
    <row r="31" spans="1:8" x14ac:dyDescent="0.2">
      <c r="A31" t="s">
        <v>26</v>
      </c>
      <c r="B31">
        <v>21.9</v>
      </c>
      <c r="C31">
        <v>22</v>
      </c>
      <c r="D31">
        <v>22</v>
      </c>
      <c r="E31">
        <v>22</v>
      </c>
      <c r="F31">
        <v>22</v>
      </c>
      <c r="G31">
        <v>22</v>
      </c>
      <c r="H31">
        <v>22</v>
      </c>
    </row>
    <row r="32" spans="1:8" x14ac:dyDescent="0.2">
      <c r="A32" t="s">
        <v>27</v>
      </c>
      <c r="B32">
        <v>26</v>
      </c>
      <c r="C32">
        <v>65</v>
      </c>
      <c r="D32">
        <v>112</v>
      </c>
      <c r="E32">
        <v>163</v>
      </c>
      <c r="F32">
        <v>212</v>
      </c>
      <c r="G32">
        <v>256</v>
      </c>
      <c r="H32">
        <v>300</v>
      </c>
    </row>
    <row r="33" spans="1:9" x14ac:dyDescent="0.2">
      <c r="A33" t="s">
        <v>28</v>
      </c>
      <c r="B33">
        <v>6.3</v>
      </c>
      <c r="C33">
        <v>7</v>
      </c>
      <c r="D33">
        <v>9</v>
      </c>
      <c r="E33">
        <v>11</v>
      </c>
      <c r="F33">
        <v>14</v>
      </c>
      <c r="G33">
        <v>18</v>
      </c>
      <c r="H33">
        <v>21</v>
      </c>
    </row>
    <row r="35" spans="1:9" x14ac:dyDescent="0.2">
      <c r="A35" t="s">
        <v>29</v>
      </c>
      <c r="B35">
        <v>43.8</v>
      </c>
      <c r="C35">
        <v>980</v>
      </c>
      <c r="D35">
        <v>1024</v>
      </c>
      <c r="E35">
        <v>1074</v>
      </c>
      <c r="F35">
        <v>1126</v>
      </c>
      <c r="G35">
        <v>1181</v>
      </c>
      <c r="H35">
        <v>1239</v>
      </c>
    </row>
    <row r="36" spans="1:9" x14ac:dyDescent="0.2">
      <c r="A36" t="s">
        <v>30</v>
      </c>
      <c r="B36">
        <v>-47.1</v>
      </c>
      <c r="C36">
        <v>-17</v>
      </c>
      <c r="D36">
        <v>112</v>
      </c>
      <c r="E36">
        <v>331</v>
      </c>
      <c r="F36">
        <v>628</v>
      </c>
      <c r="G36">
        <v>1128</v>
      </c>
      <c r="H36">
        <v>1677</v>
      </c>
    </row>
    <row r="37" spans="1:9" x14ac:dyDescent="0.2">
      <c r="A37" t="s">
        <v>33</v>
      </c>
      <c r="B37">
        <v>211.1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9" x14ac:dyDescent="0.2">
      <c r="A38" t="s">
        <v>31</v>
      </c>
      <c r="B38">
        <f>B35+B36</f>
        <v>-3.3000000000000043</v>
      </c>
      <c r="C38">
        <f>C35+C36</f>
        <v>963</v>
      </c>
      <c r="D38">
        <f t="shared" ref="D38:H38" si="4">D35+D36</f>
        <v>1136</v>
      </c>
      <c r="E38">
        <f t="shared" si="4"/>
        <v>1405</v>
      </c>
      <c r="F38">
        <f t="shared" si="4"/>
        <v>1754</v>
      </c>
      <c r="G38">
        <f t="shared" si="4"/>
        <v>2309</v>
      </c>
      <c r="H38">
        <f t="shared" si="4"/>
        <v>2916</v>
      </c>
    </row>
    <row r="40" spans="1:9" x14ac:dyDescent="0.2">
      <c r="A40" t="s">
        <v>60</v>
      </c>
      <c r="B40">
        <f>B21/B20</f>
        <v>3.968253968253968E-2</v>
      </c>
      <c r="C40">
        <f t="shared" ref="C40:H40" si="5">C21/C20</f>
        <v>0.1388888888888889</v>
      </c>
      <c r="D40">
        <f t="shared" si="5"/>
        <v>0.10416666666666667</v>
      </c>
      <c r="E40">
        <f t="shared" si="5"/>
        <v>0.12</v>
      </c>
      <c r="F40">
        <f t="shared" si="5"/>
        <v>0.17318435754189945</v>
      </c>
      <c r="G40">
        <f t="shared" si="5"/>
        <v>0.16415410385259632</v>
      </c>
      <c r="H40">
        <f t="shared" si="5"/>
        <v>0.16149870801033592</v>
      </c>
    </row>
    <row r="41" spans="1:9" x14ac:dyDescent="0.2">
      <c r="A41" t="s">
        <v>39</v>
      </c>
      <c r="B41">
        <f>B18*(1-B40)</f>
        <v>10.659523809523812</v>
      </c>
      <c r="C41">
        <f t="shared" ref="C41:H41" si="6">C18*(1-C40)</f>
        <v>25.833333333333336</v>
      </c>
      <c r="D41">
        <f t="shared" si="6"/>
        <v>116.45833333333334</v>
      </c>
      <c r="E41">
        <f t="shared" si="6"/>
        <v>200.64000000000001</v>
      </c>
      <c r="F41">
        <f t="shared" si="6"/>
        <v>270.36871508379886</v>
      </c>
      <c r="G41">
        <f t="shared" si="6"/>
        <v>465.56616415410383</v>
      </c>
      <c r="H41">
        <f t="shared" si="6"/>
        <v>607.07493540051678</v>
      </c>
    </row>
    <row r="42" spans="1:9" x14ac:dyDescent="0.2">
      <c r="A42" t="s">
        <v>40</v>
      </c>
      <c r="B42">
        <f>B13+B14</f>
        <v>10</v>
      </c>
      <c r="C42">
        <f t="shared" ref="C42:H42" si="7">C13+C14</f>
        <v>35</v>
      </c>
      <c r="D42">
        <f t="shared" si="7"/>
        <v>55</v>
      </c>
      <c r="E42">
        <f t="shared" si="7"/>
        <v>65</v>
      </c>
      <c r="F42">
        <f t="shared" si="7"/>
        <v>67</v>
      </c>
      <c r="G42">
        <f t="shared" si="7"/>
        <v>71</v>
      </c>
      <c r="H42">
        <f t="shared" si="7"/>
        <v>79</v>
      </c>
    </row>
    <row r="43" spans="1:9" x14ac:dyDescent="0.2">
      <c r="A43" t="s">
        <v>58</v>
      </c>
      <c r="B43">
        <f>B17</f>
        <v>16.5</v>
      </c>
      <c r="C43">
        <f t="shared" ref="C43" si="8">C17</f>
        <v>31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9" x14ac:dyDescent="0.2">
      <c r="A44" t="s">
        <v>41</v>
      </c>
      <c r="C44">
        <f>(C28-B28+C13)+(C29-B29+C14)</f>
        <v>81.099999999999994</v>
      </c>
      <c r="D44">
        <f t="shared" ref="D44:H44" si="9">(D28-C28+D13)+(D29-C29+D14)</f>
        <v>62</v>
      </c>
      <c r="E44">
        <f t="shared" si="9"/>
        <v>83</v>
      </c>
      <c r="F44">
        <f t="shared" si="9"/>
        <v>94</v>
      </c>
      <c r="G44">
        <f t="shared" si="9"/>
        <v>115</v>
      </c>
      <c r="H44">
        <f t="shared" si="9"/>
        <v>131</v>
      </c>
    </row>
    <row r="45" spans="1:9" x14ac:dyDescent="0.2">
      <c r="A45" t="s">
        <v>42</v>
      </c>
      <c r="B45">
        <f>B26+B27-B31-B32-B33</f>
        <v>-42.199999999999996</v>
      </c>
      <c r="C45">
        <f t="shared" ref="C45:H45" si="10">C26+C27-C31-C32-C33</f>
        <v>-69</v>
      </c>
      <c r="D45">
        <f t="shared" si="10"/>
        <v>-99</v>
      </c>
      <c r="E45">
        <f t="shared" si="10"/>
        <v>-133</v>
      </c>
      <c r="F45">
        <f t="shared" si="10"/>
        <v>-164</v>
      </c>
      <c r="G45">
        <f t="shared" si="10"/>
        <v>-184</v>
      </c>
      <c r="H45">
        <f t="shared" si="10"/>
        <v>-212</v>
      </c>
    </row>
    <row r="46" spans="1:9" x14ac:dyDescent="0.2">
      <c r="A46" t="s">
        <v>43</v>
      </c>
      <c r="C46">
        <f>C45-B45</f>
        <v>-26.800000000000004</v>
      </c>
      <c r="D46">
        <f t="shared" ref="D46:H46" si="11">D45-C45</f>
        <v>-30</v>
      </c>
      <c r="E46">
        <f t="shared" si="11"/>
        <v>-34</v>
      </c>
      <c r="F46">
        <f t="shared" si="11"/>
        <v>-31</v>
      </c>
      <c r="G46">
        <f t="shared" si="11"/>
        <v>-20</v>
      </c>
      <c r="H46">
        <f t="shared" si="11"/>
        <v>-28</v>
      </c>
    </row>
    <row r="47" spans="1:9" x14ac:dyDescent="0.2">
      <c r="A47" t="s">
        <v>44</v>
      </c>
      <c r="C47">
        <f>C41+C42+C43-C44-C46</f>
        <v>37.533333333333353</v>
      </c>
      <c r="D47">
        <f t="shared" ref="D47:H47" si="12">D41+D42+D43-D44-D46</f>
        <v>139.45833333333334</v>
      </c>
      <c r="E47">
        <f t="shared" si="12"/>
        <v>216.64</v>
      </c>
      <c r="F47">
        <f t="shared" si="12"/>
        <v>274.36871508379886</v>
      </c>
      <c r="G47">
        <f t="shared" si="12"/>
        <v>441.56616415410383</v>
      </c>
      <c r="H47">
        <f t="shared" si="12"/>
        <v>583.07493540051678</v>
      </c>
      <c r="I47">
        <f>H47*(1+I49)</f>
        <v>612.2286821705427</v>
      </c>
    </row>
    <row r="48" spans="1:9" x14ac:dyDescent="0.2">
      <c r="A48" t="s">
        <v>49</v>
      </c>
      <c r="C48" s="5">
        <v>0.1265</v>
      </c>
      <c r="D48" s="5">
        <f t="shared" ref="D48:I48" si="13">C48</f>
        <v>0.1265</v>
      </c>
      <c r="E48" s="5">
        <f t="shared" si="13"/>
        <v>0.1265</v>
      </c>
      <c r="F48" s="5">
        <f t="shared" si="13"/>
        <v>0.1265</v>
      </c>
      <c r="G48" s="5">
        <f t="shared" si="13"/>
        <v>0.1265</v>
      </c>
      <c r="H48" s="5">
        <f t="shared" si="13"/>
        <v>0.1265</v>
      </c>
      <c r="I48" s="5">
        <f t="shared" si="13"/>
        <v>0.1265</v>
      </c>
    </row>
    <row r="49" spans="1:9" x14ac:dyDescent="0.2">
      <c r="A49" t="s">
        <v>45</v>
      </c>
      <c r="I49" s="6">
        <v>0.05</v>
      </c>
    </row>
    <row r="50" spans="1:9" x14ac:dyDescent="0.2">
      <c r="A50" t="s">
        <v>46</v>
      </c>
      <c r="I50">
        <f>I47/(I48-I49)</f>
        <v>8002.9893094188592</v>
      </c>
    </row>
    <row r="51" spans="1:9" x14ac:dyDescent="0.2">
      <c r="A51" t="s">
        <v>47</v>
      </c>
      <c r="C51">
        <f>0.5*(5/12)</f>
        <v>0.20833333333333334</v>
      </c>
      <c r="D51">
        <f>C51*2+0.5</f>
        <v>0.91666666666666674</v>
      </c>
      <c r="E51">
        <f>D51+1</f>
        <v>1.9166666666666667</v>
      </c>
      <c r="F51">
        <f>1+E51</f>
        <v>2.916666666666667</v>
      </c>
      <c r="G51">
        <f>1+F51</f>
        <v>3.916666666666667</v>
      </c>
      <c r="H51">
        <f>G51+1</f>
        <v>4.916666666666667</v>
      </c>
      <c r="I51">
        <f>0.5+H51</f>
        <v>5.416666666666667</v>
      </c>
    </row>
    <row r="52" spans="1:9" x14ac:dyDescent="0.2">
      <c r="A52" t="s">
        <v>48</v>
      </c>
      <c r="C52">
        <f>(5/12)*C47/(1+C48)^C51</f>
        <v>15.255574305566666</v>
      </c>
      <c r="D52">
        <f>D47/(1+D48)^D51</f>
        <v>125.03287216469647</v>
      </c>
      <c r="E52">
        <f t="shared" ref="E52:H52" si="14">E47/(1+E48)^E51</f>
        <v>172.41982020672262</v>
      </c>
      <c r="F52">
        <f t="shared" si="14"/>
        <v>193.84380863713847</v>
      </c>
      <c r="G52">
        <f t="shared" si="14"/>
        <v>276.93760760500692</v>
      </c>
      <c r="H52">
        <f t="shared" si="14"/>
        <v>324.62302883942721</v>
      </c>
      <c r="I52">
        <f>I50/(1+I48)^I51</f>
        <v>4197.9918531262701</v>
      </c>
    </row>
    <row r="53" spans="1:9" x14ac:dyDescent="0.2">
      <c r="A53" t="s">
        <v>50</v>
      </c>
      <c r="B53">
        <f>SUM(C52:I52)</f>
        <v>5306.1045648848285</v>
      </c>
    </row>
    <row r="54" spans="1:9" x14ac:dyDescent="0.2">
      <c r="A54" t="s">
        <v>51</v>
      </c>
      <c r="B54">
        <v>900</v>
      </c>
    </row>
    <row r="55" spans="1:9" x14ac:dyDescent="0.2">
      <c r="A55" t="s">
        <v>52</v>
      </c>
      <c r="B55">
        <f>B6*B2*(1-B3)*B8</f>
        <v>653.36872859999994</v>
      </c>
    </row>
    <row r="56" spans="1:9" x14ac:dyDescent="0.2">
      <c r="A56" t="s">
        <v>55</v>
      </c>
      <c r="B56">
        <f>B53+B54+B55</f>
        <v>6859.4732934848289</v>
      </c>
    </row>
    <row r="57" spans="1:9" x14ac:dyDescent="0.2">
      <c r="A57" t="s">
        <v>56</v>
      </c>
      <c r="B57">
        <f>B56/B8</f>
        <v>846.22172384466182</v>
      </c>
    </row>
    <row r="58" spans="1:9" x14ac:dyDescent="0.2">
      <c r="A58" t="s">
        <v>57</v>
      </c>
      <c r="B58">
        <f>B57/B4</f>
        <v>26.198814979710896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2018-01-03T14:15:12Z</dcterms:created>
  <dcterms:modified xsi:type="dcterms:W3CDTF">2019-10-28T17:52:21Z</dcterms:modified>
</cp:coreProperties>
</file>